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75" windowWidth="11850" windowHeight="2415" activeTab="0"/>
  </bookViews>
  <sheets>
    <sheet name="個人一覧" sheetId="1" r:id="rId1"/>
  </sheets>
  <definedNames>
    <definedName name="_xlfn.COUNTIFS" hidden="1">#NAME?</definedName>
    <definedName name="_xlnm.Print_Area" localSheetId="0">'個人一覧'!$A$1:$K$40</definedName>
    <definedName name="_xlnm.Print_Titles" localSheetId="0">'個人一覧'!$1:$10</definedName>
    <definedName name="種目コード">'個人一覧'!#REF!</definedName>
  </definedNames>
  <calcPr fullCalcOnLoad="1"/>
</workbook>
</file>

<file path=xl/sharedStrings.xml><?xml version="1.0" encoding="utf-8"?>
<sst xmlns="http://schemas.openxmlformats.org/spreadsheetml/2006/main" count="83" uniqueCount="82">
  <si>
    <t>大会名：</t>
  </si>
  <si>
    <t>種目名</t>
  </si>
  <si>
    <t>記載責任者：</t>
  </si>
  <si>
    <t>参加者数男子：</t>
  </si>
  <si>
    <t>女子：</t>
  </si>
  <si>
    <t>種目ｺｰﾄﾞ</t>
  </si>
  <si>
    <t>種目ｺｰﾄﾞ</t>
  </si>
  <si>
    <t>00211</t>
  </si>
  <si>
    <t>33</t>
  </si>
  <si>
    <t>1</t>
  </si>
  <si>
    <t>345</t>
  </si>
  <si>
    <t>&lt;記入例&gt;</t>
  </si>
  <si>
    <r>
      <t>記録</t>
    </r>
    <r>
      <rPr>
        <sz val="11"/>
        <color indexed="53"/>
        <rFont val="ＭＳ Ｐゴシック"/>
        <family val="3"/>
      </rPr>
      <t>※</t>
    </r>
  </si>
  <si>
    <t>種目名(自動入力）</t>
  </si>
  <si>
    <t>学校・クラブ</t>
  </si>
  <si>
    <t>県　３３</t>
  </si>
  <si>
    <t>所属名</t>
  </si>
  <si>
    <r>
      <t>DBコード</t>
    </r>
    <r>
      <rPr>
        <sz val="11"/>
        <rFont val="ＭＳ Ｐゴシック"/>
        <family val="3"/>
      </rPr>
      <t>(記入不要）</t>
    </r>
  </si>
  <si>
    <t>ﾋﾞｾﾞﾝ ｲﾁﾛｳ</t>
  </si>
  <si>
    <t>フリガナ</t>
  </si>
  <si>
    <t>参加料</t>
  </si>
  <si>
    <t>出場種目</t>
  </si>
  <si>
    <t>男１女２</t>
  </si>
  <si>
    <t>備前市陸上競技選手権</t>
  </si>
  <si>
    <t>学年
年齢</t>
  </si>
  <si>
    <t>※記録（ベスト記録）はﾄﾗｯｸ競技７桁、ﾌｨｰﾙﾄﾞ競技５桁(4m80=00480)</t>
  </si>
  <si>
    <t>電話連絡先：</t>
  </si>
  <si>
    <t>07312</t>
  </si>
  <si>
    <t>00820</t>
  </si>
  <si>
    <t>中1500m</t>
  </si>
  <si>
    <t>00712</t>
  </si>
  <si>
    <t>小低100m</t>
  </si>
  <si>
    <t>小高100m</t>
  </si>
  <si>
    <t>00212</t>
  </si>
  <si>
    <t>00220</t>
  </si>
  <si>
    <t>中100m</t>
  </si>
  <si>
    <t>00612</t>
  </si>
  <si>
    <t>小高女800m</t>
  </si>
  <si>
    <t>小高男1000m</t>
  </si>
  <si>
    <t>00611</t>
  </si>
  <si>
    <t>小低女800m</t>
  </si>
  <si>
    <t>小低男1000m</t>
  </si>
  <si>
    <t>00711</t>
  </si>
  <si>
    <t>小高走幅跳</t>
  </si>
  <si>
    <t>07320</t>
  </si>
  <si>
    <t>中走幅跳</t>
  </si>
  <si>
    <t>08320</t>
  </si>
  <si>
    <t>08520</t>
  </si>
  <si>
    <t>08440</t>
  </si>
  <si>
    <t>(中学2年生の例）</t>
  </si>
  <si>
    <t>備前　一郎(2)</t>
  </si>
  <si>
    <t>2</t>
  </si>
  <si>
    <t>0001205</t>
  </si>
  <si>
    <t>砲丸(30以上男7.26k）</t>
  </si>
  <si>
    <t>砲丸(70以上男4k）</t>
  </si>
  <si>
    <t>砲丸(30～49歳女4ｋ）</t>
  </si>
  <si>
    <t>砲丸(中女)</t>
  </si>
  <si>
    <t>砲丸(中男）</t>
  </si>
  <si>
    <t>砲丸(60以上男5k）</t>
  </si>
  <si>
    <t>08140</t>
  </si>
  <si>
    <t>08360</t>
  </si>
  <si>
    <t>08470</t>
  </si>
  <si>
    <t>出場集計</t>
  </si>
  <si>
    <t>00243</t>
  </si>
  <si>
    <t>00843</t>
  </si>
  <si>
    <t>30歳以上100m</t>
  </si>
  <si>
    <t>30歳以上1500m</t>
  </si>
  <si>
    <t>30歳以上走幅跳</t>
  </si>
  <si>
    <t>砲丸(50以上男6k）</t>
  </si>
  <si>
    <t>登録№（小学生不要）</t>
  </si>
  <si>
    <t>1（男）</t>
  </si>
  <si>
    <t>2（女）</t>
  </si>
  <si>
    <t>※リレーのみの参加者も入力してください</t>
  </si>
  <si>
    <t>07340</t>
  </si>
  <si>
    <t>08250</t>
  </si>
  <si>
    <t>名前(学年、マスターズは年齢入力、車椅子はクラス、半角で）</t>
  </si>
  <si>
    <t>備前中</t>
  </si>
  <si>
    <t>Ｒ３備前市陸上競技選手権申込一覧</t>
  </si>
  <si>
    <t>小・中学生、車椅子500円、マスターズ700円</t>
  </si>
  <si>
    <t>00280</t>
  </si>
  <si>
    <t>車椅子100ｍ</t>
  </si>
  <si>
    <t>マスターズ記録会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</si>
</sst>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円&quot;"/>
    <numFmt numFmtId="178" formatCode="0&quot;円&quot;"/>
    <numFmt numFmtId="179" formatCode="#,##0_ "/>
    <numFmt numFmtId="180" formatCode="0_);[Red]\(0\)"/>
    <numFmt numFmtId="181" formatCode="#,##0_);[Red]\(#,##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b/>
      <sz val="11"/>
      <color indexed="53"/>
      <name val="ＭＳ 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9"/>
      <name val="ＭＳ ゴシック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thin"/>
      <top style="thin"/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Alignment="1" applyProtection="1">
      <alignment horizontal="left"/>
      <protection/>
    </xf>
    <xf numFmtId="49" fontId="12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 quotePrefix="1">
      <alignment horizontal="left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49" fontId="6" fillId="33" borderId="0" xfId="0" applyNumberFormat="1" applyFont="1" applyFill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shrinkToFit="1"/>
      <protection/>
    </xf>
    <xf numFmtId="49" fontId="6" fillId="0" borderId="10" xfId="0" applyNumberFormat="1" applyFont="1" applyBorder="1" applyAlignment="1" applyProtection="1">
      <alignment horizontal="left" shrinkToFit="1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shrinkToFit="1"/>
      <protection/>
    </xf>
    <xf numFmtId="49" fontId="9" fillId="0" borderId="0" xfId="0" applyNumberFormat="1" applyFont="1" applyFill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shrinkToFit="1"/>
      <protection/>
    </xf>
    <xf numFmtId="49" fontId="0" fillId="34" borderId="11" xfId="0" applyNumberFormat="1" applyFont="1" applyFill="1" applyBorder="1" applyAlignment="1" applyProtection="1">
      <alignment shrinkToFit="1"/>
      <protection/>
    </xf>
    <xf numFmtId="49" fontId="6" fillId="0" borderId="15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176" fontId="9" fillId="0" borderId="16" xfId="0" applyNumberFormat="1" applyFont="1" applyFill="1" applyBorder="1" applyAlignment="1" applyProtection="1">
      <alignment horizontal="center"/>
      <protection locked="0"/>
    </xf>
    <xf numFmtId="176" fontId="6" fillId="33" borderId="16" xfId="0" applyNumberFormat="1" applyFont="1" applyFill="1" applyBorder="1" applyAlignment="1" applyProtection="1">
      <alignment horizontal="center"/>
      <protection locked="0"/>
    </xf>
    <xf numFmtId="176" fontId="6" fillId="33" borderId="17" xfId="0" applyNumberFormat="1" applyFont="1" applyFill="1" applyBorder="1" applyAlignment="1" applyProtection="1">
      <alignment horizontal="center"/>
      <protection locked="0"/>
    </xf>
    <xf numFmtId="176" fontId="9" fillId="0" borderId="18" xfId="0" applyNumberFormat="1" applyFont="1" applyFill="1" applyBorder="1" applyAlignment="1" applyProtection="1">
      <alignment horizontal="center"/>
      <protection locked="0"/>
    </xf>
    <xf numFmtId="176" fontId="9" fillId="0" borderId="19" xfId="0" applyNumberFormat="1" applyFont="1" applyFill="1" applyBorder="1" applyAlignment="1" applyProtection="1">
      <alignment horizontal="center"/>
      <protection locked="0"/>
    </xf>
    <xf numFmtId="176" fontId="6" fillId="33" borderId="19" xfId="0" applyNumberFormat="1" applyFont="1" applyFill="1" applyBorder="1" applyAlignment="1" applyProtection="1">
      <alignment horizontal="center"/>
      <protection locked="0"/>
    </xf>
    <xf numFmtId="176" fontId="6" fillId="33" borderId="2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21" xfId="0" applyNumberFormat="1" applyFont="1" applyFill="1" applyBorder="1" applyAlignment="1" applyProtection="1">
      <alignment horizontal="left" vertical="center"/>
      <protection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49" fontId="50" fillId="0" borderId="0" xfId="0" applyNumberFormat="1" applyFont="1" applyFill="1" applyAlignment="1" applyProtection="1">
      <alignment horizontal="left"/>
      <protection/>
    </xf>
    <xf numFmtId="176" fontId="6" fillId="0" borderId="10" xfId="0" applyNumberFormat="1" applyFont="1" applyFill="1" applyBorder="1" applyAlignment="1" applyProtection="1">
      <alignment horizontal="right"/>
      <protection locked="0"/>
    </xf>
    <xf numFmtId="49" fontId="6" fillId="6" borderId="0" xfId="0" applyNumberFormat="1" applyFont="1" applyFill="1" applyAlignment="1" applyProtection="1">
      <alignment horizontal="center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10" xfId="0" applyNumberFormat="1" applyFont="1" applyFill="1" applyBorder="1" applyAlignment="1" applyProtection="1">
      <alignment horizontal="center"/>
      <protection locked="0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SheetLayoutView="50" zoomScalePageLayoutView="0" workbookViewId="0" topLeftCell="A1">
      <selection activeCell="C22" sqref="C22"/>
    </sheetView>
  </sheetViews>
  <sheetFormatPr defaultColWidth="9.00390625" defaultRowHeight="13.5"/>
  <cols>
    <col min="1" max="1" width="12.125" style="1" customWidth="1"/>
    <col min="2" max="2" width="18.50390625" style="1" customWidth="1"/>
    <col min="3" max="3" width="14.25390625" style="1" customWidth="1"/>
    <col min="4" max="4" width="5.375" style="1" customWidth="1"/>
    <col min="5" max="5" width="4.875" style="1" customWidth="1"/>
    <col min="6" max="6" width="4.375" style="1" customWidth="1"/>
    <col min="7" max="7" width="14.125" style="1" customWidth="1"/>
    <col min="8" max="8" width="6.25390625" style="1" customWidth="1"/>
    <col min="9" max="9" width="12.00390625" style="1" customWidth="1"/>
    <col min="10" max="10" width="18.375" style="1" customWidth="1"/>
    <col min="11" max="11" width="15.25390625" style="1" customWidth="1"/>
    <col min="12" max="12" width="9.00390625" style="1" customWidth="1"/>
    <col min="13" max="13" width="9.50390625" style="1" customWidth="1"/>
    <col min="14" max="14" width="17.375" style="1" customWidth="1"/>
    <col min="15" max="16" width="9.00390625" style="1" customWidth="1"/>
    <col min="17" max="17" width="9.50390625" style="1" bestFit="1" customWidth="1"/>
    <col min="18" max="16384" width="9.00390625" style="1" customWidth="1"/>
  </cols>
  <sheetData>
    <row r="1" spans="1:11" ht="13.5">
      <c r="A1" s="4" t="s">
        <v>77</v>
      </c>
      <c r="C1" s="3"/>
      <c r="D1" s="3"/>
      <c r="E1" s="3"/>
      <c r="F1" s="3"/>
      <c r="G1" s="3"/>
      <c r="H1" s="3"/>
      <c r="I1" s="3" t="s">
        <v>20</v>
      </c>
      <c r="J1" s="30"/>
      <c r="K1" s="3"/>
    </row>
    <row r="2" spans="1:11" ht="13.5">
      <c r="A2" s="3"/>
      <c r="B2" s="4"/>
      <c r="C2" s="3"/>
      <c r="D2" s="3"/>
      <c r="E2" s="3"/>
      <c r="F2" s="3"/>
      <c r="G2" s="3"/>
      <c r="H2" s="3"/>
      <c r="I2" s="36" t="s">
        <v>78</v>
      </c>
      <c r="J2" s="37"/>
      <c r="K2" s="3"/>
    </row>
    <row r="3" spans="1:11" ht="13.5">
      <c r="A3" s="3"/>
      <c r="B3" s="3"/>
      <c r="C3" s="3"/>
      <c r="D3" s="3"/>
      <c r="E3" s="3"/>
      <c r="F3" s="3"/>
      <c r="G3" s="3"/>
      <c r="H3" s="3"/>
      <c r="J3" s="4" t="s">
        <v>2</v>
      </c>
      <c r="K3" s="60"/>
    </row>
    <row r="4" spans="1:11" ht="13.5">
      <c r="A4" s="5" t="s">
        <v>0</v>
      </c>
      <c r="B4" s="65" t="s">
        <v>23</v>
      </c>
      <c r="C4" s="65"/>
      <c r="D4" s="65"/>
      <c r="E4" s="65"/>
      <c r="F4" s="65"/>
      <c r="G4" s="15"/>
      <c r="H4" s="5" t="s">
        <v>14</v>
      </c>
      <c r="I4" s="26"/>
      <c r="J4" s="38" t="s">
        <v>26</v>
      </c>
      <c r="K4" s="60"/>
    </row>
    <row r="5" spans="1:12" ht="13.5">
      <c r="A5" s="3"/>
      <c r="B5" s="3"/>
      <c r="C5" s="3"/>
      <c r="D5" s="3"/>
      <c r="E5" s="3"/>
      <c r="F5" s="6" t="s">
        <v>3</v>
      </c>
      <c r="G5" s="25">
        <f>COUNTIF(E11:E94,"1")</f>
        <v>0</v>
      </c>
      <c r="K5" s="3"/>
      <c r="L5" s="12"/>
    </row>
    <row r="6" spans="1:10" ht="14.25" thickBot="1">
      <c r="A6" s="3"/>
      <c r="B6" s="3"/>
      <c r="C6" s="3"/>
      <c r="D6" s="3"/>
      <c r="E6" s="3"/>
      <c r="F6" s="6" t="s">
        <v>4</v>
      </c>
      <c r="G6" s="25">
        <f>COUNTIF(E11:E94,"2")</f>
        <v>0</v>
      </c>
      <c r="I6" s="13"/>
      <c r="J6" s="3"/>
    </row>
    <row r="7" spans="1:14" ht="14.25" thickBot="1">
      <c r="A7" s="18" t="s">
        <v>11</v>
      </c>
      <c r="B7" s="17" t="s">
        <v>49</v>
      </c>
      <c r="C7" s="16"/>
      <c r="D7" s="9"/>
      <c r="E7" s="9"/>
      <c r="F7" s="9"/>
      <c r="G7" s="9"/>
      <c r="H7" s="9"/>
      <c r="I7" s="66" t="s">
        <v>21</v>
      </c>
      <c r="J7" s="67"/>
      <c r="K7" s="68"/>
      <c r="L7" s="7"/>
      <c r="M7" s="33"/>
      <c r="N7" s="34"/>
    </row>
    <row r="8" spans="1:14" ht="14.25" thickBot="1">
      <c r="A8" s="21"/>
      <c r="B8" s="21" t="s">
        <v>50</v>
      </c>
      <c r="C8" s="21" t="s">
        <v>18</v>
      </c>
      <c r="D8" s="21" t="s">
        <v>51</v>
      </c>
      <c r="E8" s="21" t="s">
        <v>9</v>
      </c>
      <c r="F8" s="21" t="s">
        <v>8</v>
      </c>
      <c r="G8" s="61" t="s">
        <v>76</v>
      </c>
      <c r="H8" s="21" t="s">
        <v>10</v>
      </c>
      <c r="I8" s="21" t="s">
        <v>34</v>
      </c>
      <c r="J8" s="22" t="str">
        <f>VLOOKUP(I8,$M$7:$N$27,2,FALSE)</f>
        <v>中100m</v>
      </c>
      <c r="K8" s="21" t="s">
        <v>52</v>
      </c>
      <c r="M8" s="29"/>
      <c r="N8" s="35"/>
    </row>
    <row r="9" spans="1:17" ht="14.25" thickBot="1">
      <c r="A9" s="58" t="s">
        <v>72</v>
      </c>
      <c r="B9" s="18"/>
      <c r="C9" s="18"/>
      <c r="D9" s="18"/>
      <c r="E9" s="18"/>
      <c r="F9" s="18"/>
      <c r="G9" s="20" t="s">
        <v>25</v>
      </c>
      <c r="H9" s="18"/>
      <c r="J9" s="19"/>
      <c r="M9" s="29"/>
      <c r="N9" s="35"/>
      <c r="P9" s="44" t="s">
        <v>62</v>
      </c>
      <c r="Q9" s="45"/>
    </row>
    <row r="10" spans="1:17" ht="73.5" customHeight="1" thickBot="1">
      <c r="A10" s="28" t="s">
        <v>17</v>
      </c>
      <c r="B10" s="24" t="s">
        <v>75</v>
      </c>
      <c r="C10" s="27" t="s">
        <v>19</v>
      </c>
      <c r="D10" s="24" t="s">
        <v>24</v>
      </c>
      <c r="E10" s="24" t="s">
        <v>22</v>
      </c>
      <c r="F10" s="24" t="s">
        <v>15</v>
      </c>
      <c r="G10" s="23" t="s">
        <v>16</v>
      </c>
      <c r="H10" s="28" t="s">
        <v>69</v>
      </c>
      <c r="I10" s="10" t="s">
        <v>6</v>
      </c>
      <c r="J10" s="43" t="s">
        <v>13</v>
      </c>
      <c r="K10" s="11" t="s">
        <v>12</v>
      </c>
      <c r="L10" s="14"/>
      <c r="M10" s="39" t="s">
        <v>5</v>
      </c>
      <c r="N10" s="8" t="s">
        <v>1</v>
      </c>
      <c r="P10" s="46" t="s">
        <v>70</v>
      </c>
      <c r="Q10" s="46" t="s">
        <v>71</v>
      </c>
    </row>
    <row r="11" spans="1:17" ht="13.5">
      <c r="A11" s="59"/>
      <c r="B11" s="62"/>
      <c r="C11" s="63"/>
      <c r="D11" s="54"/>
      <c r="E11" s="69"/>
      <c r="F11" s="40"/>
      <c r="G11" s="40"/>
      <c r="H11" s="64"/>
      <c r="I11" s="2"/>
      <c r="J11" s="55">
        <f>IF(I11="","",VLOOKUP(I11,$M$7:$N$32,2,FALSE))</f>
      </c>
      <c r="K11" s="56"/>
      <c r="M11" s="2" t="s">
        <v>7</v>
      </c>
      <c r="N11" s="31" t="s">
        <v>31</v>
      </c>
      <c r="O11" s="47">
        <f>COUNTIF(I11:I94,"00211")</f>
        <v>0</v>
      </c>
      <c r="P11" s="48">
        <f>_xlfn.COUNTIFS(E11:E94,1,I11:I94,211)</f>
        <v>0</v>
      </c>
      <c r="Q11" s="49">
        <f>_xlfn.COUNTIFS(E11:E94,2,I11:I94,211)</f>
        <v>0</v>
      </c>
    </row>
    <row r="12" spans="1:17" ht="13.5">
      <c r="A12" s="59"/>
      <c r="B12" s="62"/>
      <c r="C12" s="63"/>
      <c r="D12" s="54"/>
      <c r="E12" s="69"/>
      <c r="F12" s="40"/>
      <c r="G12" s="40"/>
      <c r="H12" s="64"/>
      <c r="I12" s="2"/>
      <c r="J12" s="55">
        <f>IF(I12="","",VLOOKUP(I12,$M$7:$N$32,2,FALSE))</f>
      </c>
      <c r="K12" s="56"/>
      <c r="M12" s="2" t="s">
        <v>33</v>
      </c>
      <c r="N12" s="31" t="s">
        <v>32</v>
      </c>
      <c r="O12" s="47">
        <f>COUNTIF(I11:I94,"00212")</f>
        <v>0</v>
      </c>
      <c r="P12" s="48">
        <f>_xlfn.COUNTIFS(E11:E94,1,I11:I94,212)</f>
        <v>0</v>
      </c>
      <c r="Q12" s="49">
        <f>_xlfn.COUNTIFS(E11:E94,2,I11:I94,212)</f>
        <v>0</v>
      </c>
    </row>
    <row r="13" spans="1:17" ht="13.5">
      <c r="A13" s="59"/>
      <c r="B13" s="62"/>
      <c r="C13" s="63"/>
      <c r="D13" s="54"/>
      <c r="E13" s="69"/>
      <c r="F13" s="40"/>
      <c r="G13" s="40"/>
      <c r="H13" s="64"/>
      <c r="I13" s="2"/>
      <c r="J13" s="55">
        <f>IF(I13="","",VLOOKUP(I13,$M$7:$N$32,2,FALSE))</f>
      </c>
      <c r="K13" s="56"/>
      <c r="M13" s="2" t="s">
        <v>34</v>
      </c>
      <c r="N13" s="31" t="s">
        <v>35</v>
      </c>
      <c r="O13" s="47">
        <f>COUNTIF(I11:I94,"00220")</f>
        <v>0</v>
      </c>
      <c r="P13" s="48">
        <f>_xlfn.COUNTIFS(E11:E94,1,I11:I94,220)</f>
        <v>0</v>
      </c>
      <c r="Q13" s="49">
        <f>_xlfn.COUNTIFS(E11:E94,2,I11:I94,220)</f>
        <v>0</v>
      </c>
    </row>
    <row r="14" spans="1:17" ht="13.5">
      <c r="A14" s="59"/>
      <c r="B14" s="62"/>
      <c r="C14" s="63"/>
      <c r="D14" s="54"/>
      <c r="E14" s="69"/>
      <c r="F14" s="40"/>
      <c r="G14" s="40"/>
      <c r="H14" s="64"/>
      <c r="I14" s="2"/>
      <c r="J14" s="55">
        <f>IF(I14="","",VLOOKUP(I14,$M$7:$N$32,2,FALSE))</f>
      </c>
      <c r="K14" s="57"/>
      <c r="M14" s="2" t="s">
        <v>39</v>
      </c>
      <c r="N14" s="31" t="s">
        <v>40</v>
      </c>
      <c r="O14" s="47">
        <f>COUNTIF(I11:I94,"00611.")</f>
        <v>0</v>
      </c>
      <c r="P14" s="48">
        <f>_xlfn.COUNTIFS(E10:E93,1,I10:I93,611)</f>
        <v>0</v>
      </c>
      <c r="Q14" s="49">
        <f>_xlfn.COUNTIFS(E10:E93,2,I10:I93,611)</f>
        <v>0</v>
      </c>
    </row>
    <row r="15" spans="1:17" ht="13.5">
      <c r="A15" s="59"/>
      <c r="B15" s="62"/>
      <c r="C15" s="63"/>
      <c r="D15" s="54"/>
      <c r="E15" s="69"/>
      <c r="F15" s="40"/>
      <c r="G15" s="40"/>
      <c r="H15" s="64"/>
      <c r="I15" s="2"/>
      <c r="J15" s="55">
        <f>IF(I15="","",VLOOKUP(I15,$M$7:$N$32,2,FALSE))</f>
      </c>
      <c r="K15" s="56"/>
      <c r="M15" s="2" t="s">
        <v>36</v>
      </c>
      <c r="N15" s="31" t="s">
        <v>37</v>
      </c>
      <c r="O15" s="47">
        <f>COUNTIF(I11:I94,"00612")</f>
        <v>0</v>
      </c>
      <c r="P15" s="48">
        <f>_xlfn.COUNTIFS(E10:E93,1,I10:I93,612)</f>
        <v>0</v>
      </c>
      <c r="Q15" s="49">
        <f>_xlfn.COUNTIFS(E10:E93,2,I10:I93,612)</f>
        <v>0</v>
      </c>
    </row>
    <row r="16" spans="1:17" ht="13.5">
      <c r="A16" s="59"/>
      <c r="B16" s="62"/>
      <c r="C16" s="63"/>
      <c r="D16" s="54"/>
      <c r="E16" s="69"/>
      <c r="F16" s="40"/>
      <c r="G16" s="40"/>
      <c r="H16" s="64"/>
      <c r="I16" s="2"/>
      <c r="J16" s="55">
        <f>IF(I16="","",VLOOKUP(I16,$M$7:$N$32,2,FALSE))</f>
      </c>
      <c r="K16" s="57"/>
      <c r="M16" s="2" t="s">
        <v>42</v>
      </c>
      <c r="N16" s="31" t="s">
        <v>41</v>
      </c>
      <c r="O16" s="47">
        <f>COUNTIF(I11:I94,"00711")</f>
        <v>0</v>
      </c>
      <c r="P16" s="48">
        <f>_xlfn.COUNTIFS(E10:E93,1,I10:I93,711)</f>
        <v>0</v>
      </c>
      <c r="Q16" s="49">
        <f>_xlfn.COUNTIFS(E10:E93,2,I10:I93,711)</f>
        <v>0</v>
      </c>
    </row>
    <row r="17" spans="1:17" ht="13.5">
      <c r="A17" s="59"/>
      <c r="B17" s="62"/>
      <c r="C17" s="63"/>
      <c r="D17" s="54"/>
      <c r="E17" s="69"/>
      <c r="F17" s="40"/>
      <c r="G17" s="40"/>
      <c r="H17" s="64"/>
      <c r="I17" s="2"/>
      <c r="J17" s="55">
        <f>IF(I17="","",VLOOKUP(I17,$M$7:$N$32,2,FALSE))</f>
      </c>
      <c r="K17" s="57"/>
      <c r="M17" s="2" t="s">
        <v>30</v>
      </c>
      <c r="N17" s="31" t="s">
        <v>38</v>
      </c>
      <c r="O17" s="47">
        <f>COUNTIF(I11:I94,"00712")</f>
        <v>0</v>
      </c>
      <c r="P17" s="48">
        <f>_xlfn.COUNTIFS(E10:E93,1,I10:I93,712)</f>
        <v>0</v>
      </c>
      <c r="Q17" s="49">
        <f>_xlfn.COUNTIFS(E10:E93,2,I10:I93,712)</f>
        <v>0</v>
      </c>
    </row>
    <row r="18" spans="1:17" ht="13.5">
      <c r="A18" s="59"/>
      <c r="B18" s="62"/>
      <c r="C18" s="63"/>
      <c r="D18" s="54"/>
      <c r="E18" s="69"/>
      <c r="F18" s="40"/>
      <c r="G18" s="40"/>
      <c r="H18" s="64"/>
      <c r="I18" s="2"/>
      <c r="J18" s="55">
        <f>IF(I18="","",VLOOKUP(I18,$M$7:$N$32,2,FALSE))</f>
      </c>
      <c r="K18" s="57"/>
      <c r="M18" s="2" t="s">
        <v>28</v>
      </c>
      <c r="N18" s="31" t="s">
        <v>29</v>
      </c>
      <c r="O18" s="47">
        <f>COUNTIF(I10:I93,"00820")</f>
        <v>0</v>
      </c>
      <c r="P18" s="48">
        <f>_xlfn.COUNTIFS(E10:E93,1,I10:I93,820)</f>
        <v>0</v>
      </c>
      <c r="Q18" s="49">
        <f>_xlfn.COUNTIFS(E10:E93,2,I10:I93,820)</f>
        <v>0</v>
      </c>
    </row>
    <row r="19" spans="1:17" ht="13.5">
      <c r="A19" s="59"/>
      <c r="B19" s="62"/>
      <c r="C19" s="63"/>
      <c r="D19" s="54"/>
      <c r="E19" s="69"/>
      <c r="F19" s="40"/>
      <c r="G19" s="40"/>
      <c r="H19" s="64"/>
      <c r="I19" s="2"/>
      <c r="J19" s="55">
        <f>IF(I19="","",VLOOKUP(I19,$M$7:$N$32,2,FALSE))</f>
      </c>
      <c r="K19" s="57"/>
      <c r="M19" s="2" t="s">
        <v>27</v>
      </c>
      <c r="N19" s="31" t="s">
        <v>43</v>
      </c>
      <c r="O19" s="47">
        <f>COUNTIF(I10:I93,"07312")</f>
        <v>0</v>
      </c>
      <c r="P19" s="48">
        <f>_xlfn.COUNTIFS(E10:E93,1,I10:I93,7312)</f>
        <v>0</v>
      </c>
      <c r="Q19" s="49">
        <f>_xlfn.COUNTIFS(E10:E93,2,I10:I93,7312)</f>
        <v>0</v>
      </c>
    </row>
    <row r="20" spans="1:17" ht="13.5">
      <c r="A20" s="59"/>
      <c r="B20" s="62"/>
      <c r="C20" s="63"/>
      <c r="D20" s="54"/>
      <c r="E20" s="69"/>
      <c r="F20" s="40"/>
      <c r="G20" s="40"/>
      <c r="H20" s="64"/>
      <c r="I20" s="2"/>
      <c r="J20" s="55">
        <f>IF(I20="","",VLOOKUP(I20,$M$7:$N$32,2,FALSE))</f>
      </c>
      <c r="K20" s="57"/>
      <c r="M20" s="2" t="s">
        <v>44</v>
      </c>
      <c r="N20" s="31" t="s">
        <v>45</v>
      </c>
      <c r="O20" s="47">
        <f>COUNTIF(I10:I93,"07320")</f>
        <v>0</v>
      </c>
      <c r="P20" s="48">
        <f>_xlfn.COUNTIFS(E10:E93,1,I10:I93,7320)</f>
        <v>0</v>
      </c>
      <c r="Q20" s="49">
        <f>_xlfn.COUNTIFS(E10:E93,2,I10:I93,7320)</f>
        <v>0</v>
      </c>
    </row>
    <row r="21" spans="1:17" ht="13.5">
      <c r="A21" s="59"/>
      <c r="B21" s="62"/>
      <c r="C21" s="63"/>
      <c r="D21" s="54"/>
      <c r="E21" s="69"/>
      <c r="F21" s="40"/>
      <c r="G21" s="40"/>
      <c r="H21" s="64"/>
      <c r="I21" s="2"/>
      <c r="J21" s="55">
        <f>IF(I21="","",VLOOKUP(I21,$M$7:$N$32,2,FALSE))</f>
      </c>
      <c r="K21" s="57"/>
      <c r="M21" s="2" t="s">
        <v>46</v>
      </c>
      <c r="N21" s="31" t="s">
        <v>57</v>
      </c>
      <c r="O21" s="47">
        <f>COUNTIF(I10:I93,"08320")</f>
        <v>0</v>
      </c>
      <c r="P21" s="48">
        <f>_xlfn.COUNTIFS(E10:E93,1,I10:I93,8320)</f>
        <v>0</v>
      </c>
      <c r="Q21" s="49">
        <f>_xlfn.COUNTIFS(E10:E93,2,I10:I93,8320)</f>
        <v>0</v>
      </c>
    </row>
    <row r="22" spans="1:17" ht="13.5">
      <c r="A22" s="59"/>
      <c r="B22" s="62"/>
      <c r="C22" s="63"/>
      <c r="D22" s="54"/>
      <c r="E22" s="69"/>
      <c r="F22" s="40"/>
      <c r="G22" s="40"/>
      <c r="H22" s="64"/>
      <c r="I22" s="2"/>
      <c r="J22" s="55">
        <f>IF(I22="","",VLOOKUP(I22,$M$7:$N$32,2,FALSE))</f>
      </c>
      <c r="K22" s="57"/>
      <c r="M22" s="2" t="s">
        <v>47</v>
      </c>
      <c r="N22" s="32" t="s">
        <v>56</v>
      </c>
      <c r="O22" s="47">
        <f>COUNTIF(I10:I93,"08520")</f>
        <v>0</v>
      </c>
      <c r="P22" s="48">
        <f>_xlfn.COUNTIFS(E10:E93,1,I10:I93,8520)</f>
        <v>0</v>
      </c>
      <c r="Q22" s="49">
        <f>_xlfn.COUNTIFS(E10:E93,2,I10:I93,8520)</f>
        <v>0</v>
      </c>
    </row>
    <row r="23" spans="1:17" ht="13.5">
      <c r="A23" s="59"/>
      <c r="B23" s="62"/>
      <c r="C23" s="63"/>
      <c r="D23" s="54"/>
      <c r="E23" s="69"/>
      <c r="F23" s="40"/>
      <c r="G23" s="40"/>
      <c r="H23" s="64"/>
      <c r="I23" s="2"/>
      <c r="J23" s="55">
        <f>IF(I23="","",VLOOKUP(I23,$M$7:$N$32,2,FALSE))</f>
      </c>
      <c r="K23" s="57"/>
      <c r="M23" s="2" t="s">
        <v>79</v>
      </c>
      <c r="N23" s="31" t="s">
        <v>80</v>
      </c>
      <c r="O23" s="51">
        <f>COUNTIF(I12:I95,"00280")</f>
        <v>0</v>
      </c>
      <c r="P23" s="52">
        <f>_xlfn.COUNTIFS(E12:E95,1,I12:I95,280)</f>
        <v>0</v>
      </c>
      <c r="Q23" s="53">
        <f>_xlfn.COUNTIFS(E12:E95,2,I12:I95,280)</f>
        <v>0</v>
      </c>
    </row>
    <row r="24" spans="1:14" ht="13.5">
      <c r="A24" s="59"/>
      <c r="B24" s="62"/>
      <c r="C24" s="63"/>
      <c r="D24" s="54"/>
      <c r="E24" s="69"/>
      <c r="F24" s="40"/>
      <c r="G24" s="40"/>
      <c r="H24" s="64"/>
      <c r="I24" s="2"/>
      <c r="J24" s="55">
        <f>IF(I24="","",VLOOKUP(I24,$M$7:$N$32,2,FALSE))</f>
      </c>
      <c r="K24" s="57"/>
      <c r="N24" s="1" t="s">
        <v>81</v>
      </c>
    </row>
    <row r="25" spans="1:17" ht="13.5">
      <c r="A25" s="59"/>
      <c r="B25" s="62"/>
      <c r="C25" s="63"/>
      <c r="D25" s="54"/>
      <c r="E25" s="69"/>
      <c r="F25" s="40"/>
      <c r="G25" s="40"/>
      <c r="H25" s="64"/>
      <c r="I25" s="2"/>
      <c r="J25" s="55">
        <f>IF(I25="","",VLOOKUP(I25,$M$7:$N$32,2,FALSE))</f>
      </c>
      <c r="K25" s="57"/>
      <c r="M25" s="2" t="s">
        <v>63</v>
      </c>
      <c r="N25" s="31" t="s">
        <v>65</v>
      </c>
      <c r="O25" s="47">
        <f>COUNTIF(I11:I94,"00243")</f>
        <v>0</v>
      </c>
      <c r="P25" s="48">
        <f>_xlfn.COUNTIFS(E11:E94,1,I11:I94,243)</f>
        <v>0</v>
      </c>
      <c r="Q25" s="49">
        <f>_xlfn.COUNTIFS(E11:E94,2,I11:I94,243)</f>
        <v>0</v>
      </c>
    </row>
    <row r="26" spans="1:17" ht="13.5">
      <c r="A26" s="59"/>
      <c r="B26" s="62"/>
      <c r="C26" s="63"/>
      <c r="D26" s="54"/>
      <c r="E26" s="69"/>
      <c r="F26" s="40"/>
      <c r="G26" s="40"/>
      <c r="H26" s="64"/>
      <c r="I26" s="2"/>
      <c r="J26" s="55">
        <f>IF(I26="","",VLOOKUP(I26,$M$7:$N$32,2,FALSE))</f>
      </c>
      <c r="K26" s="57"/>
      <c r="M26" s="2" t="s">
        <v>64</v>
      </c>
      <c r="N26" s="31" t="s">
        <v>66</v>
      </c>
      <c r="O26" s="47">
        <f>COUNTIF(I10:I93,"00843")</f>
        <v>0</v>
      </c>
      <c r="P26" s="48">
        <f>_xlfn.COUNTIFS(E10:E93,1,I10:I93,843)</f>
        <v>0</v>
      </c>
      <c r="Q26" s="49">
        <f>_xlfn.COUNTIFS(E10:E93,2,I10:I93,843)</f>
        <v>0</v>
      </c>
    </row>
    <row r="27" spans="1:17" ht="13.5">
      <c r="A27" s="59"/>
      <c r="B27" s="62"/>
      <c r="C27" s="63"/>
      <c r="D27" s="54"/>
      <c r="E27" s="69"/>
      <c r="F27" s="40"/>
      <c r="G27" s="40"/>
      <c r="H27" s="64"/>
      <c r="I27" s="41"/>
      <c r="J27" s="55">
        <f>IF(I27="","",VLOOKUP(I27,$M$7:$N$32,2,FALSE))</f>
      </c>
      <c r="K27" s="56"/>
      <c r="M27" s="2" t="s">
        <v>73</v>
      </c>
      <c r="N27" s="31" t="s">
        <v>67</v>
      </c>
      <c r="O27" s="47">
        <f>COUNTIF(I10:I93,"07340")</f>
        <v>0</v>
      </c>
      <c r="P27" s="48">
        <f>_xlfn.COUNTIFS(E10:E93,1,I10:I93,7340)</f>
        <v>0</v>
      </c>
      <c r="Q27" s="49">
        <f>_xlfn.COUNTIFS(E10:E93,2,I10:I93,7340)</f>
        <v>0</v>
      </c>
    </row>
    <row r="28" spans="1:17" ht="13.5">
      <c r="A28" s="59"/>
      <c r="B28" s="62"/>
      <c r="C28" s="63"/>
      <c r="D28" s="54"/>
      <c r="E28" s="69"/>
      <c r="F28" s="40"/>
      <c r="G28" s="40"/>
      <c r="H28" s="64"/>
      <c r="I28" s="41"/>
      <c r="J28" s="55">
        <f>IF(I28="","",VLOOKUP(I28,$M$7:$N$32,2,FALSE))</f>
      </c>
      <c r="K28" s="57"/>
      <c r="M28" s="41" t="s">
        <v>59</v>
      </c>
      <c r="N28" s="42" t="s">
        <v>53</v>
      </c>
      <c r="O28" s="47">
        <f>COUNTIF(I10:I93,"08140")</f>
        <v>0</v>
      </c>
      <c r="P28" s="48">
        <f>_xlfn.COUNTIFS(E10:E93,1,I10:I93,8140)</f>
        <v>0</v>
      </c>
      <c r="Q28" s="49">
        <f>_xlfn.COUNTIFS(E10:E93,2,I10:I93,8140)</f>
        <v>0</v>
      </c>
    </row>
    <row r="29" spans="1:17" ht="13.5">
      <c r="A29" s="59"/>
      <c r="B29" s="62"/>
      <c r="C29" s="63"/>
      <c r="D29" s="54"/>
      <c r="E29" s="69"/>
      <c r="F29" s="40"/>
      <c r="G29" s="40"/>
      <c r="H29" s="64"/>
      <c r="I29" s="41"/>
      <c r="J29" s="55">
        <f>IF(I29="","",VLOOKUP(I29,$M$7:$N$32,2,FALSE))</f>
      </c>
      <c r="K29" s="57"/>
      <c r="M29" s="41" t="s">
        <v>74</v>
      </c>
      <c r="N29" s="42" t="s">
        <v>68</v>
      </c>
      <c r="O29" s="47">
        <f>COUNTIF(I10:I93,"08250")</f>
        <v>0</v>
      </c>
      <c r="P29" s="48">
        <f>_xlfn.COUNTIFS(E10:E93,1,I10:I93,8250)</f>
        <v>0</v>
      </c>
      <c r="Q29" s="49">
        <f>_xlfn.COUNTIFS(E10:E93,2,I10:I93,8250)</f>
        <v>0</v>
      </c>
    </row>
    <row r="30" spans="1:17" ht="13.5">
      <c r="A30" s="59"/>
      <c r="B30" s="62"/>
      <c r="C30" s="63"/>
      <c r="D30" s="54"/>
      <c r="E30" s="69"/>
      <c r="F30" s="40"/>
      <c r="G30" s="40"/>
      <c r="H30" s="64"/>
      <c r="I30" s="41"/>
      <c r="J30" s="55">
        <f>IF(I30="","",VLOOKUP(I30,$M$7:$N$32,2,FALSE))</f>
      </c>
      <c r="K30" s="57"/>
      <c r="M30" s="41" t="s">
        <v>60</v>
      </c>
      <c r="N30" s="42" t="s">
        <v>58</v>
      </c>
      <c r="O30" s="47">
        <f>COUNTIF(I10:I93,"08360")</f>
        <v>0</v>
      </c>
      <c r="P30" s="48">
        <f>_xlfn.COUNTIFS(E10:E93,1,I10:I93,8360)</f>
        <v>0</v>
      </c>
      <c r="Q30" s="49">
        <f>_xlfn.COUNTIFS(E10:E93,2,I10:I93,8360)</f>
        <v>0</v>
      </c>
    </row>
    <row r="31" spans="1:17" ht="13.5">
      <c r="A31" s="59"/>
      <c r="B31" s="62"/>
      <c r="C31" s="63"/>
      <c r="D31" s="54"/>
      <c r="E31" s="69"/>
      <c r="F31" s="40"/>
      <c r="G31" s="40"/>
      <c r="H31" s="64"/>
      <c r="I31" s="2"/>
      <c r="J31" s="55">
        <f>IF(I31="","",VLOOKUP(I31,$M$7:$N$32,2,FALSE))</f>
      </c>
      <c r="K31" s="57"/>
      <c r="M31" s="41" t="s">
        <v>61</v>
      </c>
      <c r="N31" s="42" t="s">
        <v>54</v>
      </c>
      <c r="O31" s="50">
        <f>COUNTIF(I10:I93,"08470")</f>
        <v>0</v>
      </c>
      <c r="P31" s="48">
        <f>_xlfn.COUNTIFS(E10:E93,1,I10:I93,8470)</f>
        <v>0</v>
      </c>
      <c r="Q31" s="49">
        <f>_xlfn.COUNTIFS(E10:E93,2,I10:I93,8470)</f>
        <v>0</v>
      </c>
    </row>
    <row r="32" spans="1:17" ht="13.5">
      <c r="A32" s="59"/>
      <c r="B32" s="62"/>
      <c r="C32" s="63"/>
      <c r="D32" s="54"/>
      <c r="E32" s="69"/>
      <c r="F32" s="40"/>
      <c r="G32" s="40"/>
      <c r="H32" s="64"/>
      <c r="I32" s="2"/>
      <c r="J32" s="55">
        <f>IF(I32="","",VLOOKUP(I32,$M$7:$N$32,2,FALSE))</f>
      </c>
      <c r="K32" s="57"/>
      <c r="M32" s="2" t="s">
        <v>48</v>
      </c>
      <c r="N32" s="31" t="s">
        <v>55</v>
      </c>
      <c r="O32" s="51">
        <f>COUNTIF(I11:I94,"08440")</f>
        <v>0</v>
      </c>
      <c r="P32" s="52">
        <f>_xlfn.COUNTIFS(E11:E94,1,I11:I94,8440)</f>
        <v>0</v>
      </c>
      <c r="Q32" s="53">
        <f>_xlfn.COUNTIFS(E11:E94,2,I11:I94,8440)</f>
        <v>0</v>
      </c>
    </row>
    <row r="33" spans="1:11" ht="13.5">
      <c r="A33" s="59"/>
      <c r="B33" s="40"/>
      <c r="C33" s="40"/>
      <c r="D33" s="54"/>
      <c r="E33" s="69"/>
      <c r="F33" s="40"/>
      <c r="G33" s="40"/>
      <c r="H33" s="64"/>
      <c r="I33" s="2"/>
      <c r="J33" s="55">
        <f>IF(I33="","",VLOOKUP(I33,$M$7:$N$32,2,FALSE))</f>
      </c>
      <c r="K33" s="57"/>
    </row>
    <row r="34" spans="1:17" ht="13.5">
      <c r="A34" s="59"/>
      <c r="B34" s="40"/>
      <c r="C34" s="40"/>
      <c r="D34" s="54"/>
      <c r="E34" s="69"/>
      <c r="F34" s="40"/>
      <c r="G34" s="40"/>
      <c r="H34" s="64"/>
      <c r="I34" s="2"/>
      <c r="J34" s="55">
        <f>IF(I34="","",VLOOKUP(I34,$M$7:$N$32,2,FALSE))</f>
      </c>
      <c r="K34" s="57"/>
      <c r="O34" s="70">
        <f>SUM(O11:O33)</f>
        <v>0</v>
      </c>
      <c r="P34" s="70">
        <f>SUM(P11:P33)</f>
        <v>0</v>
      </c>
      <c r="Q34" s="70">
        <f>SUM(Q11:Q33)</f>
        <v>0</v>
      </c>
    </row>
    <row r="35" spans="1:11" ht="13.5">
      <c r="A35" s="59"/>
      <c r="B35" s="40"/>
      <c r="C35" s="40"/>
      <c r="D35" s="54"/>
      <c r="E35" s="69"/>
      <c r="F35" s="40"/>
      <c r="G35" s="40"/>
      <c r="H35" s="64"/>
      <c r="I35" s="41"/>
      <c r="J35" s="55">
        <f>IF(I35="","",VLOOKUP(I35,$M$7:$N$32,2,FALSE))</f>
      </c>
      <c r="K35" s="57"/>
    </row>
    <row r="36" spans="1:11" ht="13.5">
      <c r="A36" s="59"/>
      <c r="B36" s="40"/>
      <c r="C36" s="40"/>
      <c r="D36" s="54"/>
      <c r="E36" s="69"/>
      <c r="F36" s="40"/>
      <c r="G36" s="40"/>
      <c r="H36" s="64"/>
      <c r="I36" s="41"/>
      <c r="J36" s="55">
        <f>IF(I36="","",VLOOKUP(I36,$M$7:$N$32,2,FALSE))</f>
      </c>
      <c r="K36" s="57"/>
    </row>
    <row r="37" spans="1:11" ht="13.5">
      <c r="A37" s="59"/>
      <c r="B37" s="40"/>
      <c r="C37" s="40"/>
      <c r="D37" s="54"/>
      <c r="E37" s="69"/>
      <c r="F37" s="40"/>
      <c r="G37" s="40"/>
      <c r="H37" s="64"/>
      <c r="I37" s="41"/>
      <c r="J37" s="55">
        <f>IF(I37="","",VLOOKUP(I37,$M$7:$N$32,2,FALSE))</f>
      </c>
      <c r="K37" s="57"/>
    </row>
    <row r="38" spans="1:11" ht="13.5">
      <c r="A38" s="59"/>
      <c r="B38" s="40"/>
      <c r="C38" s="40"/>
      <c r="D38" s="54"/>
      <c r="E38" s="69"/>
      <c r="F38" s="40"/>
      <c r="G38" s="40"/>
      <c r="H38" s="64"/>
      <c r="I38" s="41"/>
      <c r="J38" s="55">
        <f>IF(I38="","",VLOOKUP(I38,$M$7:$N$32,2,FALSE))</f>
      </c>
      <c r="K38" s="57"/>
    </row>
    <row r="39" spans="1:11" ht="13.5">
      <c r="A39" s="59"/>
      <c r="B39" s="40"/>
      <c r="C39" s="40"/>
      <c r="D39" s="54"/>
      <c r="E39" s="69"/>
      <c r="F39" s="40"/>
      <c r="G39" s="40"/>
      <c r="H39" s="64"/>
      <c r="I39" s="2"/>
      <c r="J39" s="55">
        <f>IF(I39="","",VLOOKUP(I39,$M$7:$N$32,2,FALSE))</f>
      </c>
      <c r="K39" s="57"/>
    </row>
    <row r="40" spans="1:11" ht="13.5">
      <c r="A40" s="59"/>
      <c r="B40" s="40"/>
      <c r="C40" s="40"/>
      <c r="D40" s="54"/>
      <c r="E40" s="69"/>
      <c r="F40" s="40"/>
      <c r="G40" s="40"/>
      <c r="H40" s="64"/>
      <c r="I40" s="2"/>
      <c r="J40" s="55">
        <f>IF(I40="","",VLOOKUP(I40,$M$7:$N$32,2,FALSE))</f>
      </c>
      <c r="K40" s="57"/>
    </row>
  </sheetData>
  <sheetProtection/>
  <mergeCells count="2">
    <mergeCell ref="B4:F4"/>
    <mergeCell ref="I7:K7"/>
  </mergeCells>
  <dataValidations count="10">
    <dataValidation allowBlank="1" showInputMessage="1" showErrorMessage="1" sqref="J8:J9 I4:J4 I2:K2 K5 I7:I8 I10:K10 G10 A1 C1:K1 A2:H3 G5:G8 I6:J6 J3 A4:F10 H4:H10 M1:Q23 L1:L40 R1:AM40 M25:Q32 I11:J40"/>
    <dataValidation allowBlank="1" showInputMessage="1" showErrorMessage="1" prompt="半角カナで入力してください。" sqref="C33:C40"/>
    <dataValidation operator="equal" allowBlank="1" showInputMessage="1" showErrorMessage="1" prompt="マスターズの方は年齢を入力してください。" errorTitle="学年の入力エラー" error="学年は１桁です。" sqref="D11:D40"/>
    <dataValidation allowBlank="1" showInputMessage="1" showErrorMessage="1" prompt="全角で苗字と名の間は１字開ける、生徒・学生は（）で新学年を入力してください。" sqref="B33:B40"/>
    <dataValidation type="textLength" allowBlank="1" showInputMessage="1" showErrorMessage="1" errorTitle="記録の入力エラー" error="トラック種目の記録は７桁、&#10;フィールド種目の記録は５桁です。" sqref="K11:K40">
      <formula1>5</formula1>
      <formula2>7</formula2>
    </dataValidation>
    <dataValidation operator="equal" allowBlank="1" showInputMessage="1" showErrorMessage="1" promptTitle="所属名" prompt="所属名を入力してください。&#10;学校の場合は下記の書式でお願いします。&#10;○○中&#10;○○高&#10;○○大" errorTitle="学校の入力エラー" error="学校コードは６桁です。" sqref="G11:G40"/>
    <dataValidation allowBlank="1" showInputMessage="1" showErrorMessage="1" prompt="全角で苗字と名の間は１字開ける、生徒・学生は（）で新学年を入力してください。" imeMode="hiragana" sqref="B11:B32"/>
    <dataValidation type="textLength" operator="equal" allowBlank="1" showInputMessage="1" showErrorMessage="1" errorTitle="性別の入力エラー" error="性別は１桁です。" sqref="E11:E40">
      <formula1>1</formula1>
    </dataValidation>
    <dataValidation type="textLength" operator="equal" allowBlank="1" showInputMessage="1" showErrorMessage="1" errorTitle="県の入力エラー" error="県コードは「３３」です。" sqref="F11:F40">
      <formula1>2</formula1>
    </dataValidation>
    <dataValidation type="textLength" allowBlank="1" showInputMessage="1" showErrorMessage="1" prompt="入力不要です" errorTitle="ＤＢコードの入力エラー" error="ＤＢコードは９桁です。&#10;(枝番なしは６桁)" sqref="A11:A40">
      <formula1>6</formula1>
      <formula2>9</formula2>
    </dataValidation>
  </dataValidations>
  <printOptions horizontalCentered="1" verticalCentered="1"/>
  <pageMargins left="0.2362204724409449" right="0.2755905511811024" top="0.5511811023622047" bottom="0.5511811023622047" header="0.3937007874015748" footer="0.35433070866141736"/>
  <pageSetup blackAndWhite="1" horizontalDpi="300" verticalDpi="300" orientation="landscape" paperSize="9" scale="94" r:id="rId1"/>
  <headerFooter alignWithMargins="0">
    <oddFooter>&amp;C&amp;P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nogami</dc:creator>
  <cp:keywords/>
  <dc:description/>
  <cp:lastModifiedBy>波多野靖成</cp:lastModifiedBy>
  <cp:lastPrinted>2020-09-18T02:24:33Z</cp:lastPrinted>
  <dcterms:created xsi:type="dcterms:W3CDTF">1999-05-20T01:54:59Z</dcterms:created>
  <dcterms:modified xsi:type="dcterms:W3CDTF">2021-09-07T12:07:28Z</dcterms:modified>
  <cp:category/>
  <cp:version/>
  <cp:contentType/>
  <cp:contentStatus/>
</cp:coreProperties>
</file>